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5"/>
  </sheets>
  <definedNames/>
  <calcPr/>
</workbook>
</file>

<file path=xl/sharedStrings.xml><?xml version="1.0" encoding="utf-8"?>
<sst xmlns="http://schemas.openxmlformats.org/spreadsheetml/2006/main" count="33" uniqueCount="30">
  <si>
    <t>Oplossing verkenning GLD</t>
  </si>
  <si>
    <t>Emissiebesparing GLD-verkenning</t>
  </si>
  <si>
    <t>Emissiebesparing TTW</t>
  </si>
  <si>
    <t>Verschil</t>
  </si>
  <si>
    <t>Raming</t>
  </si>
  <si>
    <t>Ambitieus</t>
  </si>
  <si>
    <t>Notitie emissiefactoren</t>
  </si>
  <si>
    <t>Raming potentie</t>
  </si>
  <si>
    <t>Ambitieus potentie</t>
  </si>
  <si>
    <t>Duurzame opwek zon- en wind (kg CO2-eq / kWh)</t>
  </si>
  <si>
    <t>Uitgegaan van TTW Grijze stroom gemiddelde (2022 t/m 2025) co2emissiefactoren.nl</t>
  </si>
  <si>
    <t>Groen gas (kg CO2-eq / m3)</t>
  </si>
  <si>
    <t>Indien consequent ketenemissies buiten beschouwing worden gelaten is TTW voor beide van toepassing. Bron co2emissiefactoren.nl (2023).</t>
  </si>
  <si>
    <t>Groen gas (kg CO2-eq / m3)*</t>
  </si>
  <si>
    <t>Groen gas gaat uit van productie in GLD. Daarbij is WTW van toepassing voor GLD voor groen gas en TTW voor Gemiddeld aardgas.  Bron co2emissiefactoren.nl (2023).</t>
  </si>
  <si>
    <t>Spreiding energieconsumptie (kg CO2-eq / kWh)</t>
  </si>
  <si>
    <t>Uitgegaan van 50% beter benutten capaciteit hernieuwbare elektriciteit. Voor GLD is een keten emissie voor hernieuwbaar van 50 g CO2-eq / kWh gehanteerd. Bron TTW Co2emissiefactoren.nl (2023).</t>
  </si>
  <si>
    <t>Isolatie (kg CO2-eq / m3)</t>
  </si>
  <si>
    <t>Uitgangspunt was enkel te kijken naar besparing gas, er is in GLd geen rekening gehouden met efficientie in elektrische systemen. Bron TTW Co2emissiefactoren.nl (2023).</t>
  </si>
  <si>
    <t>Slimme thermostaten (kg CO2-eq / m3)</t>
  </si>
  <si>
    <t>Warmtepompen (kg CO2-eq / warmtepomp)</t>
  </si>
  <si>
    <t xml:space="preserve">Gasverbruik wordt verminderd daarbij rekening gehouden met WTW emissiefactor van gas (2,079) en als alternatief gemiddelde mix stroom emissiefactor (2023) van 0,337 kg CO2-eq per kWh.Er is echter geen rekening gehouden met verduurzamen van het stroomnet, die reductie wordt immers al toegekend aan opwek zon &amp; wind. Bron TTW CO2emissiefactoren.nl (2021). </t>
  </si>
  <si>
    <t>Warmtenetten (kg CO2-eq / m3)</t>
  </si>
  <si>
    <t xml:space="preserve">Besparing van 61% in uitstoot als uitgangspunt gehanteerd. </t>
  </si>
  <si>
    <t>Elektrische voertuigen &amp; ZE-zones (kg CO2-eq / voertuig km)</t>
  </si>
  <si>
    <t xml:space="preserve">Bron TTW CO2emissiefactoren.nl (2021). </t>
  </si>
  <si>
    <t>Geothermie / Aquathermie</t>
  </si>
  <si>
    <t>nvt</t>
  </si>
  <si>
    <t xml:space="preserve">Emissiebesparing obv gemiddelde besparingen EBN, CE Delft en PBL. </t>
  </si>
  <si>
    <t>Totaal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</si>
</sst>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_-* #,##0.00_-;\-* #,##0.00_-;_-* &quot;-&quot;??_-;_-@"/>
  </numFmts>
  <fonts count="3">
    <font>
      <sz val="11.0"/>
      <color theme="1"/>
      <name val="Aptos Narrow"/>
      <scheme val="minor"/>
    </font>
    <font>
      <sz val="11.0"/>
      <color theme="1"/>
      <name val="Aptos Narrow"/>
    </font>
    <font>
      <b/>
      <sz val="11.0"/>
      <color theme="1"/>
      <name val="Aptos Narrow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2" xfId="0" applyAlignment="1" applyFont="1" applyNumberFormat="1">
      <alignment vertical="top"/>
    </xf>
    <xf borderId="0" fillId="0" fontId="1" numFmtId="9" xfId="0" applyAlignment="1" applyFont="1" applyNumberFormat="1">
      <alignment vertical="top"/>
    </xf>
    <xf borderId="0" fillId="0" fontId="1" numFmtId="164" xfId="0" applyAlignment="1" applyFont="1" applyNumberFormat="1">
      <alignment vertical="top"/>
    </xf>
    <xf borderId="0" fillId="0" fontId="1" numFmtId="0" xfId="0" applyAlignment="1" applyFont="1">
      <alignment shrinkToFit="0" vertical="top" wrapText="1"/>
    </xf>
    <xf borderId="0" fillId="0" fontId="1" numFmtId="165" xfId="0" applyAlignment="1" applyFont="1" applyNumberFormat="1">
      <alignment vertical="top"/>
    </xf>
    <xf borderId="0" fillId="0" fontId="1" numFmtId="0" xfId="0" applyAlignment="1" applyFont="1">
      <alignment horizontal="right" vertical="top"/>
    </xf>
    <xf borderId="0" fillId="0" fontId="1" numFmtId="165" xfId="0" applyAlignment="1" applyFont="1" applyNumberFormat="1">
      <alignment horizontal="right" vertical="top"/>
    </xf>
    <xf borderId="0" fillId="0" fontId="2" numFmtId="0" xfId="0" applyAlignment="1" applyFont="1">
      <alignment vertical="top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5"/>
    <col customWidth="1" min="2" max="2" width="36.13"/>
    <col customWidth="1" min="3" max="3" width="25.88"/>
    <col customWidth="1" min="4" max="4" width="23.88"/>
    <col customWidth="1" min="5" max="5" width="25.13"/>
    <col customWidth="1" min="6" max="6" width="13.25"/>
    <col customWidth="1" min="7" max="7" width="12.88"/>
    <col customWidth="1" min="8" max="8" width="49.5"/>
    <col customWidth="1" min="9" max="9" width="25.13"/>
    <col customWidth="1" min="10" max="10" width="22.38"/>
    <col customWidth="1" min="11" max="26" width="7.63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1" t="s">
        <v>9</v>
      </c>
      <c r="C3" s="1">
        <v>0.5</v>
      </c>
      <c r="D3" s="2">
        <f>AVERAGE(0.454,0.396,0.448,0.414)</f>
        <v>0.428</v>
      </c>
      <c r="E3" s="3">
        <f t="shared" ref="E3:E11" si="2">(D3-C3)/C3</f>
        <v>-0.144</v>
      </c>
      <c r="F3" s="4">
        <f t="shared" ref="F3:G3" si="1">$E3*I3</f>
        <v>-438.624</v>
      </c>
      <c r="G3" s="4">
        <f t="shared" si="1"/>
        <v>-588.384</v>
      </c>
      <c r="H3" s="5" t="s">
        <v>10</v>
      </c>
      <c r="I3" s="6">
        <f>1306+855+885</f>
        <v>3046</v>
      </c>
      <c r="J3" s="6">
        <f>1632+1069+1385</f>
        <v>4086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1" t="s">
        <v>11</v>
      </c>
      <c r="C4" s="1">
        <f t="shared" ref="C4:C5" si="4">2.08-0.72</f>
        <v>1.36</v>
      </c>
      <c r="D4" s="1">
        <v>1.782</v>
      </c>
      <c r="E4" s="3">
        <f t="shared" si="2"/>
        <v>0.3102941176</v>
      </c>
      <c r="F4" s="4">
        <f t="shared" ref="F4:G4" si="3">$E4*I4</f>
        <v>33.82205882</v>
      </c>
      <c r="G4" s="4">
        <f t="shared" si="3"/>
        <v>95.26029412</v>
      </c>
      <c r="H4" s="5" t="s">
        <v>12</v>
      </c>
      <c r="I4" s="6">
        <f t="shared" ref="I4:I5" si="6">109</f>
        <v>109</v>
      </c>
      <c r="J4" s="6">
        <f t="shared" ref="J4:J5" si="7">307</f>
        <v>307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1" t="s">
        <v>13</v>
      </c>
      <c r="C5" s="1">
        <f t="shared" si="4"/>
        <v>1.36</v>
      </c>
      <c r="D5" s="1">
        <f>1.782-0.723</f>
        <v>1.059</v>
      </c>
      <c r="E5" s="3">
        <f t="shared" si="2"/>
        <v>-0.2213235294</v>
      </c>
      <c r="F5" s="4">
        <f t="shared" ref="F5:G5" si="5">$E5*I5</f>
        <v>-24.12426471</v>
      </c>
      <c r="G5" s="4">
        <f t="shared" si="5"/>
        <v>-67.94632353</v>
      </c>
      <c r="H5" s="5" t="s">
        <v>14</v>
      </c>
      <c r="I5" s="6">
        <f t="shared" si="6"/>
        <v>109</v>
      </c>
      <c r="J5" s="6">
        <f t="shared" si="7"/>
        <v>307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1" t="s">
        <v>15</v>
      </c>
      <c r="C6" s="1">
        <v>0.1935</v>
      </c>
      <c r="D6" s="1">
        <f>0.398*0.5</f>
        <v>0.199</v>
      </c>
      <c r="E6" s="3">
        <f t="shared" si="2"/>
        <v>0.02842377261</v>
      </c>
      <c r="F6" s="4">
        <f t="shared" ref="F6:G6" si="8">$E6*I6</f>
        <v>2.018087855</v>
      </c>
      <c r="G6" s="4">
        <f t="shared" si="8"/>
        <v>4.064599483</v>
      </c>
      <c r="H6" s="5" t="s">
        <v>16</v>
      </c>
      <c r="I6" s="6">
        <f>71</f>
        <v>71</v>
      </c>
      <c r="J6" s="6">
        <f>143</f>
        <v>143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1" t="s">
        <v>17</v>
      </c>
      <c r="C7" s="1">
        <f t="shared" ref="C7:C8" si="10">2.079</f>
        <v>2.079</v>
      </c>
      <c r="D7" s="1">
        <v>1.782</v>
      </c>
      <c r="E7" s="3">
        <f t="shared" si="2"/>
        <v>-0.1428571429</v>
      </c>
      <c r="F7" s="4">
        <f t="shared" ref="F7:G7" si="9">$E7*I7</f>
        <v>-58.71428571</v>
      </c>
      <c r="G7" s="4">
        <f t="shared" si="9"/>
        <v>-91.85714286</v>
      </c>
      <c r="H7" s="5" t="s">
        <v>18</v>
      </c>
      <c r="I7" s="6">
        <f>380+31</f>
        <v>411</v>
      </c>
      <c r="J7" s="6">
        <f>487+156</f>
        <v>643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" t="s">
        <v>19</v>
      </c>
      <c r="C8" s="1">
        <f t="shared" si="10"/>
        <v>2.079</v>
      </c>
      <c r="D8" s="1">
        <v>1.782</v>
      </c>
      <c r="E8" s="3">
        <f t="shared" si="2"/>
        <v>-0.1428571429</v>
      </c>
      <c r="F8" s="4">
        <f t="shared" ref="F8:G8" si="11">$E8*I8</f>
        <v>-6.571428571</v>
      </c>
      <c r="G8" s="4">
        <f t="shared" si="11"/>
        <v>-15</v>
      </c>
      <c r="H8" s="5" t="s">
        <v>18</v>
      </c>
      <c r="I8" s="6">
        <f>46</f>
        <v>46</v>
      </c>
      <c r="J8" s="6">
        <f>105</f>
        <v>105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1" t="s">
        <v>20</v>
      </c>
      <c r="C9" s="1">
        <v>829.897</v>
      </c>
      <c r="D9" s="1">
        <v>709.586</v>
      </c>
      <c r="E9" s="3">
        <f t="shared" si="2"/>
        <v>-0.1449710024</v>
      </c>
      <c r="F9" s="4">
        <f t="shared" ref="F9:G9" si="12">$E9*I9</f>
        <v>-38.70725765</v>
      </c>
      <c r="G9" s="4">
        <f t="shared" si="12"/>
        <v>-112.2075559</v>
      </c>
      <c r="H9" s="5" t="s">
        <v>21</v>
      </c>
      <c r="I9" s="6">
        <f>148+119</f>
        <v>267</v>
      </c>
      <c r="J9" s="6">
        <f>285+489</f>
        <v>774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1" t="s">
        <v>22</v>
      </c>
      <c r="C10" s="1">
        <v>1.268</v>
      </c>
      <c r="D10" s="1">
        <f>61%*1.782</f>
        <v>1.08702</v>
      </c>
      <c r="E10" s="3">
        <f t="shared" si="2"/>
        <v>-0.1427287066</v>
      </c>
      <c r="F10" s="4">
        <f t="shared" ref="F10:G10" si="13">$E10*I10</f>
        <v>-43.53225552</v>
      </c>
      <c r="G10" s="4">
        <f t="shared" si="13"/>
        <v>-84.92358044</v>
      </c>
      <c r="H10" s="5" t="s">
        <v>23</v>
      </c>
      <c r="I10" s="6">
        <f>244+61</f>
        <v>305</v>
      </c>
      <c r="J10" s="6">
        <f>503+92</f>
        <v>595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1" t="s">
        <v>24</v>
      </c>
      <c r="C11" s="1">
        <f>0.193-0.069</f>
        <v>0.124</v>
      </c>
      <c r="D11" s="1">
        <f>0.145-0</f>
        <v>0.145</v>
      </c>
      <c r="E11" s="3">
        <f t="shared" si="2"/>
        <v>0.1693548387</v>
      </c>
      <c r="F11" s="4">
        <f t="shared" ref="F11:G11" si="14">$E11*I11</f>
        <v>68.58870968</v>
      </c>
      <c r="G11" s="4">
        <f t="shared" si="14"/>
        <v>337.6935484</v>
      </c>
      <c r="H11" s="1" t="s">
        <v>25</v>
      </c>
      <c r="I11" s="6">
        <f>152+253</f>
        <v>405</v>
      </c>
      <c r="J11" s="6">
        <f>1386+608</f>
        <v>1994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1" t="s">
        <v>26</v>
      </c>
      <c r="C12" s="7" t="s">
        <v>27</v>
      </c>
      <c r="D12" s="7" t="s">
        <v>27</v>
      </c>
      <c r="E12" s="7" t="s">
        <v>27</v>
      </c>
      <c r="F12" s="7"/>
      <c r="G12" s="7"/>
      <c r="H12" s="1" t="s">
        <v>28</v>
      </c>
      <c r="I12" s="8"/>
      <c r="J12" s="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1"/>
      <c r="C14" s="1"/>
      <c r="D14" s="1"/>
      <c r="E14" s="9" t="s">
        <v>29</v>
      </c>
      <c r="F14" s="4">
        <f t="shared" ref="F14:G14" si="15">SUM(F3:F13)</f>
        <v>-505.8446358</v>
      </c>
      <c r="G14" s="4">
        <f t="shared" si="15"/>
        <v>-523.3001607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1"/>
      <c r="C15" s="1"/>
      <c r="D15" s="1"/>
      <c r="E15" s="1"/>
      <c r="F15" s="3">
        <f>F14/5927</f>
        <v>-0.08534581336</v>
      </c>
      <c r="G15" s="3">
        <f>G14/12616</f>
        <v>-0.04147908693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1"/>
      <c r="C18" s="10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